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runs\SOLIDWORKS\"/>
    </mc:Choice>
  </mc:AlternateContent>
  <xr:revisionPtr revIDLastSave="0" documentId="8_{933E8549-AFE1-49A0-82A1-ABAE3CA13325}" xr6:coauthVersionLast="47" xr6:coauthVersionMax="47" xr10:uidLastSave="{00000000-0000-0000-0000-000000000000}"/>
  <bookViews>
    <workbookView xWindow="-120" yWindow="-120" windowWidth="29040" windowHeight="15840" xr2:uid="{7A70D2A7-0CA6-48A4-BFC1-D4710AF23A15}"/>
  </bookViews>
  <sheets>
    <sheet name="Pro Shop" sheetId="1" r:id="rId1"/>
    <sheet name="Calculatio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F3" i="2"/>
  <c r="B13" i="1"/>
  <c r="F2" i="2"/>
  <c r="C10" i="2" l="1"/>
  <c r="I2" i="2"/>
  <c r="I3" i="2"/>
  <c r="B21" i="2"/>
  <c r="C21" i="2" s="1"/>
  <c r="C23" i="2"/>
  <c r="C4" i="2"/>
  <c r="C3" i="2"/>
  <c r="C2" i="2"/>
  <c r="C9" i="2" s="1"/>
  <c r="B22" i="2" l="1"/>
  <c r="C22" i="2" s="1"/>
  <c r="F10" i="2"/>
  <c r="B19" i="1" s="1"/>
  <c r="C13" i="2"/>
  <c r="C14" i="2" s="1"/>
  <c r="C31" i="2"/>
  <c r="B31" i="2" s="1"/>
  <c r="C26" i="2"/>
  <c r="B27" i="2" l="1"/>
  <c r="B26" i="2"/>
  <c r="B9" i="2"/>
  <c r="C27" i="2" l="1"/>
  <c r="C28" i="2" s="1"/>
  <c r="B13" i="2"/>
  <c r="B14" i="2"/>
  <c r="B28" i="2" l="1"/>
  <c r="B17" i="2"/>
  <c r="C39" i="2" l="1"/>
  <c r="B39" i="2" s="1"/>
  <c r="C32" i="2"/>
  <c r="B32" i="2" l="1"/>
  <c r="F8" i="2" l="1"/>
  <c r="B18" i="1" s="1"/>
  <c r="B33" i="2"/>
  <c r="C33" i="2" s="1"/>
  <c r="C36" i="2" s="1"/>
  <c r="B36" i="2" s="1"/>
  <c r="B38" i="2" s="1"/>
  <c r="B40" i="2" s="1"/>
  <c r="F11" i="2" s="1"/>
  <c r="C42" i="2" s="1"/>
  <c r="B20" i="1" l="1"/>
  <c r="B42" i="2"/>
  <c r="B43" i="2" s="1"/>
  <c r="F9" i="2" s="1"/>
</calcChain>
</file>

<file path=xl/sharedStrings.xml><?xml version="1.0" encoding="utf-8"?>
<sst xmlns="http://schemas.openxmlformats.org/spreadsheetml/2006/main" count="69" uniqueCount="51">
  <si>
    <t>Horizontal</t>
  </si>
  <si>
    <t>Vertical</t>
  </si>
  <si>
    <t>PAP</t>
  </si>
  <si>
    <t>Riser Pin</t>
  </si>
  <si>
    <t>Latitude</t>
  </si>
  <si>
    <t>Longitude</t>
  </si>
  <si>
    <t>Bearing</t>
  </si>
  <si>
    <t>Determine CoG to PAP Distance</t>
  </si>
  <si>
    <t>Apply vertical component</t>
  </si>
  <si>
    <t>Radius</t>
  </si>
  <si>
    <t>Deg</t>
  </si>
  <si>
    <t>Rad</t>
  </si>
  <si>
    <t>Apply horizontal component</t>
  </si>
  <si>
    <t>CoG to PAP Distance</t>
  </si>
  <si>
    <t>Pin to PAP</t>
  </si>
  <si>
    <t>Dist.</t>
  </si>
  <si>
    <t>Drilling Angle</t>
  </si>
  <si>
    <t>Determining Dual Angle Layout</t>
  </si>
  <si>
    <t>Dual Angle Conversion</t>
  </si>
  <si>
    <t>Pin-to-PAP</t>
  </si>
  <si>
    <t>VAL Angle</t>
  </si>
  <si>
    <t>Apply drilling angle</t>
  </si>
  <si>
    <t>Layout</t>
  </si>
  <si>
    <t>CoG to PAP</t>
  </si>
  <si>
    <t>Move from riser pin to PAP</t>
  </si>
  <si>
    <t>Bearing from PAP to CoG</t>
  </si>
  <si>
    <t>Determine position of CoG</t>
  </si>
  <si>
    <t>Δ Long</t>
  </si>
  <si>
    <t>Longitude difference is subtracted instead of added because of the direction of change on surface of ball</t>
  </si>
  <si>
    <t>Theta</t>
  </si>
  <si>
    <t>Alpha</t>
  </si>
  <si>
    <t>Beta (VAL)</t>
  </si>
  <si>
    <t>Layout Sum</t>
  </si>
  <si>
    <t>Drilling angle is arbitrary for calculation purposes</t>
  </si>
  <si>
    <t>Drilling Angle 1</t>
  </si>
  <si>
    <t>Drilling Angle 2</t>
  </si>
  <si>
    <t>CG/PSA in line with CoG and Pin/DOT</t>
  </si>
  <si>
    <t>PSA on VAL</t>
  </si>
  <si>
    <t>PSA Long</t>
  </si>
  <si>
    <t>Pin/DOT to CoG</t>
  </si>
  <si>
    <t xml:space="preserve">Horizontal </t>
  </si>
  <si>
    <t xml:space="preserve"> (Puts CG/PSA in line with Pin/DOT and CoG)</t>
  </si>
  <si>
    <t>Dual Angle Converter - Symmetric Bowling Balls</t>
  </si>
  <si>
    <t>For down vertical PAP coordinates, insert a negative number (example: -1)</t>
  </si>
  <si>
    <t>Input Bowler's PAP</t>
  </si>
  <si>
    <t>Center of Grip (CoG) to PAP Distance</t>
  </si>
  <si>
    <t>CoG-to-PAP</t>
  </si>
  <si>
    <t>Pin-to-CoG (Drop Down)</t>
  </si>
  <si>
    <t xml:space="preserve">Pin-to-PAP </t>
  </si>
  <si>
    <t xml:space="preserve">"CoG-to-PAP" varies based on PAP coordinates. It is the straight line distance between the bowler's Center of Grip (CoG) and their PAP. The sum of "Pin-to-CoG" and "Pin-to-PAP" (Layout Sum) must be greater than the "CoG-to-PAP" value. </t>
  </si>
  <si>
    <t>WARNING: This value must be greater than "CoG-to-PAP" 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</si>
</sst>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3" applyNumberFormat="0" applyFont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4" borderId="3" xfId="4" applyFont="1"/>
    <xf numFmtId="0" fontId="7" fillId="4" borderId="3" xfId="4" applyFont="1"/>
    <xf numFmtId="1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2" fontId="0" fillId="0" borderId="0" xfId="0" applyNumberFormat="1"/>
    <xf numFmtId="0" fontId="12" fillId="0" borderId="0" xfId="0" applyFont="1"/>
    <xf numFmtId="0" fontId="8" fillId="0" borderId="0" xfId="0" applyFont="1"/>
    <xf numFmtId="0" fontId="0" fillId="0" borderId="0" xfId="0" applyAlignment="1">
      <alignment horizontal="left" vertical="center"/>
    </xf>
    <xf numFmtId="0" fontId="11" fillId="6" borderId="0" xfId="0" applyFont="1" applyFill="1"/>
    <xf numFmtId="0" fontId="12" fillId="6" borderId="0" xfId="0" applyFont="1" applyFill="1"/>
    <xf numFmtId="0" fontId="12" fillId="6" borderId="0" xfId="0" applyFont="1" applyFill="1" applyAlignment="1">
      <alignment horizontal="left"/>
    </xf>
    <xf numFmtId="0" fontId="12" fillId="6" borderId="0" xfId="3" applyFont="1" applyFill="1"/>
    <xf numFmtId="0" fontId="0" fillId="6" borderId="0" xfId="0" applyFill="1"/>
    <xf numFmtId="0" fontId="12" fillId="6" borderId="0" xfId="4" applyFont="1" applyFill="1" applyBorder="1" applyAlignment="1"/>
    <xf numFmtId="0" fontId="12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3" fillId="6" borderId="0" xfId="3" applyFont="1" applyFill="1"/>
    <xf numFmtId="0" fontId="13" fillId="6" borderId="0" xfId="0" applyFont="1" applyFill="1" applyAlignment="1">
      <alignment horizontal="left" vertical="center"/>
    </xf>
    <xf numFmtId="0" fontId="13" fillId="6" borderId="0" xfId="0" applyFont="1" applyFill="1"/>
    <xf numFmtId="0" fontId="9" fillId="0" borderId="0" xfId="0" applyFont="1"/>
    <xf numFmtId="0" fontId="14" fillId="6" borderId="0" xfId="0" applyFont="1" applyFill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12" fillId="0" borderId="0" xfId="0" applyFont="1" applyFill="1"/>
    <xf numFmtId="13" fontId="10" fillId="7" borderId="4" xfId="1" applyNumberFormat="1" applyFont="1" applyFill="1" applyBorder="1" applyAlignment="1" applyProtection="1">
      <alignment horizontal="center" vertical="center"/>
      <protection locked="0"/>
    </xf>
    <xf numFmtId="13" fontId="10" fillId="5" borderId="4" xfId="1" applyNumberFormat="1" applyFont="1" applyFill="1" applyBorder="1" applyAlignment="1" applyProtection="1">
      <alignment horizontal="center" vertical="center"/>
      <protection hidden="1"/>
    </xf>
    <xf numFmtId="13" fontId="10" fillId="5" borderId="4" xfId="2" applyNumberFormat="1" applyFont="1" applyFill="1" applyBorder="1" applyAlignment="1">
      <alignment horizontal="center" vertical="center"/>
    </xf>
    <xf numFmtId="1" fontId="10" fillId="5" borderId="4" xfId="2" applyNumberFormat="1" applyFont="1" applyFill="1" applyBorder="1" applyAlignment="1" applyProtection="1">
      <alignment horizontal="center" vertical="center"/>
      <protection hidden="1"/>
    </xf>
    <xf numFmtId="13" fontId="10" fillId="5" borderId="4" xfId="2" applyNumberFormat="1" applyFont="1" applyFill="1" applyBorder="1" applyAlignment="1" applyProtection="1">
      <alignment horizontal="center" vertical="center"/>
      <protection hidden="1"/>
    </xf>
  </cellXfs>
  <cellStyles count="5">
    <cellStyle name="Input" xfId="1" builtinId="20"/>
    <cellStyle name="Normal" xfId="0" builtinId="0"/>
    <cellStyle name="Note" xfId="4" builtinId="10"/>
    <cellStyle name="Output" xfId="2" builtinId="21"/>
    <cellStyle name="Warning Text" xfId="3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51D2.74C2DD5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15631</xdr:rowOff>
    </xdr:from>
    <xdr:to>
      <xdr:col>5</xdr:col>
      <xdr:colOff>733425</xdr:colOff>
      <xdr:row>26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9D3693A-8A5F-6904-C91A-6BAA2676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606806"/>
          <a:ext cx="5638800" cy="1003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54F0-CE06-4E1B-BF88-B4B306BBCD3D}">
  <dimension ref="A1:L22"/>
  <sheetViews>
    <sheetView showGridLines="0" tabSelected="1" zoomScaleNormal="100" zoomScaleSheetLayoutView="130" workbookViewId="0">
      <selection activeCell="B4" sqref="B4"/>
    </sheetView>
  </sheetViews>
  <sheetFormatPr defaultRowHeight="15" x14ac:dyDescent="0.25"/>
  <cols>
    <col min="1" max="1" width="33.85546875" customWidth="1"/>
    <col min="2" max="2" width="14.7109375" style="14" customWidth="1"/>
    <col min="3" max="3" width="9.42578125" customWidth="1"/>
    <col min="4" max="6" width="12.7109375" customWidth="1"/>
    <col min="7" max="7" width="11.85546875" bestFit="1" customWidth="1"/>
  </cols>
  <sheetData>
    <row r="1" spans="1:12" x14ac:dyDescent="0.25">
      <c r="A1" s="27" t="s">
        <v>42</v>
      </c>
      <c r="B1" s="27"/>
      <c r="C1" s="27"/>
      <c r="D1" s="27"/>
      <c r="E1" s="27"/>
      <c r="F1" s="27"/>
    </row>
    <row r="2" spans="1:12" ht="15.75" thickBot="1" x14ac:dyDescent="0.3">
      <c r="A2" s="28"/>
      <c r="B2" s="28"/>
      <c r="C2" s="28"/>
      <c r="D2" s="28"/>
      <c r="E2" s="28"/>
      <c r="F2" s="28"/>
    </row>
    <row r="3" spans="1:12" ht="21.75" thickBot="1" x14ac:dyDescent="0.4">
      <c r="A3" s="15" t="s">
        <v>44</v>
      </c>
      <c r="B3" s="21"/>
      <c r="C3" s="16"/>
      <c r="D3" s="16"/>
      <c r="E3" s="16"/>
      <c r="F3" s="16"/>
      <c r="G3" s="12"/>
      <c r="H3" s="12"/>
      <c r="I3" s="12"/>
      <c r="J3" s="13"/>
      <c r="K3" s="13"/>
      <c r="L3" s="13"/>
    </row>
    <row r="4" spans="1:12" ht="21.75" thickBot="1" x14ac:dyDescent="0.4">
      <c r="A4" s="16" t="s">
        <v>40</v>
      </c>
      <c r="B4" s="31">
        <v>4</v>
      </c>
      <c r="C4" s="16"/>
      <c r="D4" s="29" t="s">
        <v>43</v>
      </c>
      <c r="E4" s="29"/>
      <c r="F4" s="29"/>
      <c r="G4" s="12"/>
      <c r="H4" s="12"/>
      <c r="I4" s="12"/>
      <c r="J4" s="13"/>
      <c r="K4" s="13"/>
      <c r="L4" s="13"/>
    </row>
    <row r="5" spans="1:12" ht="21.75" thickBot="1" x14ac:dyDescent="0.4">
      <c r="A5" s="16" t="s">
        <v>1</v>
      </c>
      <c r="B5" s="31">
        <v>-2</v>
      </c>
      <c r="C5" s="16"/>
      <c r="D5" s="29"/>
      <c r="E5" s="29"/>
      <c r="F5" s="29"/>
      <c r="G5" s="12"/>
      <c r="H5" s="12"/>
      <c r="I5" s="12"/>
      <c r="J5" s="13"/>
      <c r="K5" s="13"/>
      <c r="L5" s="13"/>
    </row>
    <row r="6" spans="1:12" ht="21" x14ac:dyDescent="0.35">
      <c r="A6" s="16"/>
      <c r="B6" s="21"/>
      <c r="C6" s="16"/>
      <c r="D6" s="16"/>
      <c r="E6" s="16"/>
      <c r="F6" s="16"/>
      <c r="G6" s="12"/>
      <c r="H6" s="12"/>
      <c r="I6" s="12"/>
      <c r="J6" s="13"/>
      <c r="K6" s="13"/>
      <c r="L6" s="13"/>
    </row>
    <row r="7" spans="1:12" ht="21.75" thickBot="1" x14ac:dyDescent="0.4">
      <c r="A7" s="15" t="s">
        <v>45</v>
      </c>
      <c r="B7" s="21"/>
      <c r="C7" s="16"/>
      <c r="D7" s="16"/>
      <c r="E7" s="16"/>
      <c r="F7" s="16"/>
      <c r="G7" s="12"/>
      <c r="H7" s="12"/>
      <c r="I7" s="12"/>
      <c r="J7" s="13"/>
      <c r="K7" s="13"/>
      <c r="L7" s="13"/>
    </row>
    <row r="8" spans="1:12" ht="21.75" customHeight="1" thickBot="1" x14ac:dyDescent="0.4">
      <c r="A8" s="16" t="s">
        <v>46</v>
      </c>
      <c r="B8" s="32">
        <f>CEILING(Calculations!B17,0.125)</f>
        <v>4.375</v>
      </c>
      <c r="C8" s="16"/>
      <c r="D8" s="29" t="s">
        <v>49</v>
      </c>
      <c r="E8" s="29"/>
      <c r="F8" s="29"/>
      <c r="G8" s="30"/>
      <c r="H8" s="12"/>
      <c r="I8" s="12"/>
      <c r="J8" s="13"/>
      <c r="K8" s="13"/>
      <c r="L8" s="13"/>
    </row>
    <row r="9" spans="1:12" ht="21.75" thickBot="1" x14ac:dyDescent="0.4">
      <c r="A9" s="16"/>
      <c r="B9" s="21"/>
      <c r="C9" s="16"/>
      <c r="D9" s="29"/>
      <c r="E9" s="29"/>
      <c r="F9" s="29"/>
      <c r="G9" s="12"/>
      <c r="H9" s="12"/>
      <c r="I9" s="12"/>
      <c r="J9" s="13"/>
      <c r="K9" s="13"/>
      <c r="L9" s="13"/>
    </row>
    <row r="10" spans="1:12" ht="21.75" thickBot="1" x14ac:dyDescent="0.4">
      <c r="A10" s="16" t="s">
        <v>47</v>
      </c>
      <c r="B10" s="31">
        <v>5</v>
      </c>
      <c r="C10" s="16"/>
      <c r="D10" s="29"/>
      <c r="E10" s="29"/>
      <c r="F10" s="29"/>
      <c r="G10" s="12"/>
      <c r="H10" s="12"/>
      <c r="I10" s="12"/>
      <c r="J10" s="13"/>
      <c r="K10" s="13"/>
      <c r="L10" s="13"/>
    </row>
    <row r="11" spans="1:12" ht="21.75" thickBot="1" x14ac:dyDescent="0.4">
      <c r="A11" s="16" t="s">
        <v>48</v>
      </c>
      <c r="B11" s="31">
        <v>5.5</v>
      </c>
      <c r="C11" s="16"/>
      <c r="D11" s="29"/>
      <c r="E11" s="29"/>
      <c r="F11" s="29"/>
      <c r="G11" s="12"/>
      <c r="H11" s="12"/>
      <c r="I11" s="12"/>
      <c r="J11" s="13"/>
      <c r="K11" s="13"/>
      <c r="L11" s="13"/>
    </row>
    <row r="12" spans="1:12" ht="21.75" thickBot="1" x14ac:dyDescent="0.4">
      <c r="A12" s="16"/>
      <c r="B12" s="21"/>
      <c r="C12" s="16"/>
      <c r="D12" s="29"/>
      <c r="E12" s="29"/>
      <c r="F12" s="29"/>
      <c r="G12" s="12"/>
      <c r="H12" s="12"/>
      <c r="I12" s="12"/>
      <c r="J12" s="13"/>
      <c r="K12" s="13"/>
      <c r="L12" s="13"/>
    </row>
    <row r="13" spans="1:12" ht="21.75" thickBot="1" x14ac:dyDescent="0.4">
      <c r="A13" s="17" t="s">
        <v>32</v>
      </c>
      <c r="B13" s="33">
        <f>B10+B11</f>
        <v>10.5</v>
      </c>
      <c r="C13" s="19"/>
      <c r="D13" s="29"/>
      <c r="E13" s="29"/>
      <c r="F13" s="29"/>
      <c r="G13" s="12"/>
      <c r="H13" s="12"/>
      <c r="I13" s="12"/>
      <c r="J13" s="13"/>
      <c r="K13" s="13"/>
      <c r="L13" s="13"/>
    </row>
    <row r="14" spans="1:12" ht="21" x14ac:dyDescent="0.35">
      <c r="A14" s="23" t="s">
        <v>50</v>
      </c>
      <c r="B14" s="24"/>
      <c r="C14" s="25"/>
      <c r="D14" s="25"/>
      <c r="E14" s="25"/>
      <c r="F14" s="16"/>
      <c r="G14" s="12"/>
      <c r="H14" s="12"/>
      <c r="I14" s="12"/>
      <c r="J14" s="13"/>
      <c r="K14" s="13"/>
      <c r="L14" s="13"/>
    </row>
    <row r="15" spans="1:12" ht="21" x14ac:dyDescent="0.35">
      <c r="A15" s="18"/>
      <c r="B15" s="21"/>
      <c r="C15" s="16"/>
      <c r="D15" s="16"/>
      <c r="E15" s="16"/>
      <c r="F15" s="16"/>
      <c r="G15" s="12"/>
      <c r="H15" s="12"/>
      <c r="I15" s="12"/>
      <c r="J15" s="13"/>
      <c r="K15" s="13"/>
      <c r="L15" s="13"/>
    </row>
    <row r="16" spans="1:12" ht="21" x14ac:dyDescent="0.35">
      <c r="A16" s="15" t="s">
        <v>18</v>
      </c>
      <c r="B16" s="21"/>
      <c r="C16" s="16"/>
      <c r="D16" s="16"/>
      <c r="E16" s="16"/>
      <c r="F16" s="16"/>
      <c r="G16" s="12"/>
      <c r="H16" s="12"/>
      <c r="I16" s="12"/>
      <c r="J16" s="13"/>
      <c r="K16" s="13"/>
      <c r="L16" s="13"/>
    </row>
    <row r="17" spans="1:12" ht="21.75" thickBot="1" x14ac:dyDescent="0.4">
      <c r="A17" s="15" t="s">
        <v>41</v>
      </c>
      <c r="B17" s="21"/>
      <c r="C17" s="16"/>
      <c r="D17" s="16"/>
      <c r="E17" s="16"/>
      <c r="F17" s="16"/>
      <c r="G17" s="12"/>
      <c r="H17" s="12"/>
      <c r="I17" s="12"/>
      <c r="J17" s="13"/>
      <c r="K17" s="13"/>
      <c r="L17" s="13"/>
    </row>
    <row r="18" spans="1:12" ht="21.75" thickBot="1" x14ac:dyDescent="0.4">
      <c r="A18" s="16" t="s">
        <v>16</v>
      </c>
      <c r="B18" s="34">
        <f>Calculations!F8</f>
        <v>61.506755315799118</v>
      </c>
      <c r="C18" s="20"/>
      <c r="D18" s="20"/>
      <c r="E18" s="20"/>
      <c r="F18" s="20"/>
      <c r="G18" s="12"/>
      <c r="H18" s="12"/>
      <c r="I18" s="12"/>
      <c r="J18" s="13"/>
      <c r="K18" s="13"/>
      <c r="L18" s="13"/>
    </row>
    <row r="19" spans="1:12" ht="21.75" thickBot="1" x14ac:dyDescent="0.4">
      <c r="A19" s="16" t="s">
        <v>19</v>
      </c>
      <c r="B19" s="35">
        <f>Calculations!F10</f>
        <v>5.5</v>
      </c>
      <c r="C19" s="16"/>
      <c r="D19" s="16"/>
      <c r="E19" s="16"/>
      <c r="F19" s="16"/>
      <c r="G19" s="12"/>
      <c r="H19" s="12"/>
      <c r="I19" s="12"/>
      <c r="J19" s="13"/>
      <c r="K19" s="13"/>
      <c r="L19" s="13"/>
    </row>
    <row r="20" spans="1:12" ht="21.75" thickBot="1" x14ac:dyDescent="0.4">
      <c r="A20" s="16" t="s">
        <v>20</v>
      </c>
      <c r="B20" s="34">
        <f>ROUND(Calculations!F11,0)</f>
        <v>-1</v>
      </c>
      <c r="C20" s="16"/>
      <c r="D20" s="16"/>
      <c r="E20" s="16"/>
      <c r="F20" s="16"/>
      <c r="G20" s="12"/>
      <c r="H20" s="12"/>
      <c r="I20" s="12"/>
      <c r="J20" s="13"/>
      <c r="K20" s="13"/>
      <c r="L20" s="13"/>
    </row>
    <row r="21" spans="1:12" ht="21" x14ac:dyDescent="0.35">
      <c r="A21" s="16"/>
      <c r="B21" s="22"/>
      <c r="C21" s="16"/>
      <c r="D21" s="16"/>
      <c r="E21" s="16"/>
      <c r="F21" s="16"/>
      <c r="G21" s="12"/>
      <c r="H21" s="12"/>
      <c r="I21" s="12"/>
      <c r="J21" s="13"/>
      <c r="K21" s="13"/>
      <c r="L21" s="13"/>
    </row>
    <row r="22" spans="1:12" s="26" customFormat="1" ht="15.75" x14ac:dyDescent="0.25"/>
  </sheetData>
  <sheetProtection algorithmName="SHA-512" hashValue="gBUj5HMw4k5xoJOwwtcCPrQ6Pbd4+LY093cdwtR0OJdxrGx/9OeA6qrs7zVDrnfc7dhRgCjKG/Y2fH3kFaVxWw==" saltValue="KGQCraQl9qPyfUMrhnpeUQ==" spinCount="100000" sheet="1" selectLockedCells="1"/>
  <mergeCells count="3">
    <mergeCell ref="A1:F2"/>
    <mergeCell ref="D8:F13"/>
    <mergeCell ref="D4:F5"/>
  </mergeCells>
  <dataValidations xWindow="197" yWindow="407" count="1">
    <dataValidation type="decimal" operator="greaterThan" allowBlank="1" showErrorMessage="1" errorTitle="Invalid Layout" error="Combined layout measurements must be larger than &quot;CoG-to-PAP&quot; value." promptTitle="Pin to PAP" prompt="This value plus the &quot;Pin to CoG&quot; must be larger than the &quot;Min Sum&quot; to create a valid layout." sqref="B11" xr:uid="{F420BFF0-435A-4075-A7E0-D2AB3862B76A}">
      <formula1>B8-B10</formula1>
    </dataValidation>
  </dataValidation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97" yWindow="407" count="1">
        <x14:dataValidation type="list" allowBlank="1" showInputMessage="1" showErrorMessage="1" xr:uid="{6BD8D827-8C14-4DF8-9EB4-16B9A9F2DF72}">
          <x14:formula1>
            <xm:f>Calculations!$M$9:$M$19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DCE32-6150-4471-8907-434FEC4FCDAE}">
  <dimension ref="A1:AA43"/>
  <sheetViews>
    <sheetView topLeftCell="P1" workbookViewId="0">
      <selection activeCell="P1" sqref="P1"/>
    </sheetView>
  </sheetViews>
  <sheetFormatPr defaultColWidth="10.7109375" defaultRowHeight="15" x14ac:dyDescent="0.25"/>
  <cols>
    <col min="1" max="1" width="0" hidden="1" customWidth="1"/>
    <col min="2" max="3" width="0" style="4" hidden="1" customWidth="1"/>
    <col min="4" max="15" width="0" hidden="1" customWidth="1"/>
  </cols>
  <sheetData>
    <row r="1" spans="1:15" x14ac:dyDescent="0.25">
      <c r="A1" s="1" t="s">
        <v>3</v>
      </c>
      <c r="B1" s="4" t="s">
        <v>10</v>
      </c>
      <c r="C1" s="4" t="s">
        <v>11</v>
      </c>
      <c r="E1" s="1" t="s">
        <v>2</v>
      </c>
      <c r="H1" s="5" t="s">
        <v>22</v>
      </c>
      <c r="K1" s="1"/>
    </row>
    <row r="2" spans="1:15" x14ac:dyDescent="0.25">
      <c r="A2" t="s">
        <v>4</v>
      </c>
      <c r="B2" s="4">
        <v>90</v>
      </c>
      <c r="C2" s="4">
        <f>RADIANS(B2)</f>
        <v>1.5707963267948966</v>
      </c>
      <c r="E2" t="s">
        <v>0</v>
      </c>
      <c r="F2">
        <f>'Pro Shop'!B4</f>
        <v>4</v>
      </c>
      <c r="H2" s="6" t="s">
        <v>14</v>
      </c>
      <c r="I2">
        <f>'Pro Shop'!B11</f>
        <v>5.5</v>
      </c>
    </row>
    <row r="3" spans="1:15" x14ac:dyDescent="0.25">
      <c r="A3" t="s">
        <v>5</v>
      </c>
      <c r="B3" s="4">
        <v>0</v>
      </c>
      <c r="C3" s="4">
        <f>RADIANS(B3)</f>
        <v>0</v>
      </c>
      <c r="E3" t="s">
        <v>1</v>
      </c>
      <c r="F3">
        <f>'Pro Shop'!B5</f>
        <v>-2</v>
      </c>
      <c r="H3" s="6" t="s">
        <v>23</v>
      </c>
      <c r="I3">
        <f>'Pro Shop'!B10</f>
        <v>5</v>
      </c>
    </row>
    <row r="4" spans="1:15" x14ac:dyDescent="0.25">
      <c r="A4" t="s">
        <v>6</v>
      </c>
      <c r="B4" s="4">
        <v>180</v>
      </c>
      <c r="C4" s="4">
        <f>RADIANS(B4)</f>
        <v>3.1415926535897931</v>
      </c>
      <c r="H4" s="6" t="s">
        <v>16</v>
      </c>
      <c r="I4">
        <v>60</v>
      </c>
      <c r="J4" s="8" t="s">
        <v>33</v>
      </c>
      <c r="K4" s="8"/>
      <c r="L4" s="8"/>
      <c r="M4" s="8"/>
      <c r="N4" s="8"/>
      <c r="O4" s="8"/>
    </row>
    <row r="5" spans="1:15" x14ac:dyDescent="0.25">
      <c r="A5" t="s">
        <v>9</v>
      </c>
      <c r="B5" s="4">
        <v>4.2925000000000004</v>
      </c>
    </row>
    <row r="7" spans="1:15" x14ac:dyDescent="0.25">
      <c r="A7" s="1" t="s">
        <v>7</v>
      </c>
    </row>
    <row r="8" spans="1:15" x14ac:dyDescent="0.25">
      <c r="A8" t="s">
        <v>8</v>
      </c>
      <c r="E8" s="6" t="s">
        <v>34</v>
      </c>
      <c r="F8" s="10">
        <f>B32</f>
        <v>61.506755315799118</v>
      </c>
      <c r="G8" t="s">
        <v>36</v>
      </c>
      <c r="M8" t="s">
        <v>39</v>
      </c>
    </row>
    <row r="9" spans="1:15" x14ac:dyDescent="0.25">
      <c r="A9" t="s">
        <v>4</v>
      </c>
      <c r="B9" s="4">
        <f>DEGREES(C9)</f>
        <v>63.304237850631417</v>
      </c>
      <c r="C9" s="4">
        <f>ASIN(SIN(C2)*COS(ABS($F$3)/$B$5)+COS(C2)*SIN(ABS($F$3)/$B$5)*COS(C4))</f>
        <v>1.1048673809591365</v>
      </c>
      <c r="E9" s="6" t="s">
        <v>35</v>
      </c>
      <c r="F9" s="10">
        <f>B43</f>
        <v>-0.29544511417275743</v>
      </c>
      <c r="G9" t="s">
        <v>37</v>
      </c>
      <c r="M9" s="11">
        <v>1</v>
      </c>
    </row>
    <row r="10" spans="1:15" x14ac:dyDescent="0.25">
      <c r="A10" t="s">
        <v>5</v>
      </c>
      <c r="B10" s="4">
        <v>0</v>
      </c>
      <c r="C10" s="4">
        <f>RADIANS(B10)</f>
        <v>0</v>
      </c>
      <c r="E10" s="6" t="s">
        <v>19</v>
      </c>
      <c r="F10" s="9">
        <f>I2</f>
        <v>5.5</v>
      </c>
      <c r="M10" s="11">
        <v>1.5</v>
      </c>
    </row>
    <row r="11" spans="1:15" x14ac:dyDescent="0.25">
      <c r="E11" s="6" t="s">
        <v>20</v>
      </c>
      <c r="F11" s="10">
        <f>B40</f>
        <v>-1.0348570312747398</v>
      </c>
      <c r="M11" s="11">
        <v>2</v>
      </c>
    </row>
    <row r="12" spans="1:15" x14ac:dyDescent="0.25">
      <c r="A12" t="s">
        <v>12</v>
      </c>
      <c r="M12" s="11">
        <v>2.5</v>
      </c>
    </row>
    <row r="13" spans="1:15" x14ac:dyDescent="0.25">
      <c r="A13" t="s">
        <v>4</v>
      </c>
      <c r="B13" s="4">
        <f>DEGREES(C13)</f>
        <v>32.193220872645362</v>
      </c>
      <c r="C13" s="4">
        <f>ASIN(SIN(C9)*COS($F$2/$B$5)+COS(C9)*SIN($F$2/$B$5)*COS(C4+RADIANS(90)))</f>
        <v>0.56187770104942369</v>
      </c>
      <c r="M13" s="11">
        <v>3</v>
      </c>
    </row>
    <row r="14" spans="1:15" x14ac:dyDescent="0.25">
      <c r="A14" t="s">
        <v>5</v>
      </c>
      <c r="B14" s="4">
        <f>DEGREES(C14)</f>
        <v>288.45631793815102</v>
      </c>
      <c r="C14" s="4">
        <f>MOD(C10+ATAN2(COS($F$2/$B$5)-SIN(C9)*SIN(C13),SIN(C4+RADIANS(90))*SIN($F$2/$B$5)*COS(C9)),2*PI())</f>
        <v>5.0345124962003158</v>
      </c>
      <c r="M14" s="11">
        <v>3.5</v>
      </c>
    </row>
    <row r="15" spans="1:15" x14ac:dyDescent="0.25">
      <c r="M15" s="11">
        <v>4</v>
      </c>
    </row>
    <row r="16" spans="1:15" x14ac:dyDescent="0.25">
      <c r="A16" t="s">
        <v>13</v>
      </c>
      <c r="M16" s="11">
        <v>4.5</v>
      </c>
    </row>
    <row r="17" spans="1:13" x14ac:dyDescent="0.25">
      <c r="A17" t="s">
        <v>15</v>
      </c>
      <c r="B17" s="4">
        <f>ACOS(SIN(C2)*SIN(C13)+COS(C2)*COS(C13)*COS(C14-C3))*B5</f>
        <v>4.3307832010124425</v>
      </c>
      <c r="M17" s="11">
        <v>5</v>
      </c>
    </row>
    <row r="18" spans="1:13" x14ac:dyDescent="0.25">
      <c r="M18" s="11">
        <v>5.5</v>
      </c>
    </row>
    <row r="19" spans="1:13" x14ac:dyDescent="0.25">
      <c r="A19" s="1" t="s">
        <v>17</v>
      </c>
      <c r="M19" s="11">
        <v>6</v>
      </c>
    </row>
    <row r="20" spans="1:13" x14ac:dyDescent="0.25">
      <c r="A20" t="s">
        <v>21</v>
      </c>
    </row>
    <row r="21" spans="1:13" x14ac:dyDescent="0.25">
      <c r="A21" t="s">
        <v>4</v>
      </c>
      <c r="B21" s="4">
        <f>B2</f>
        <v>90</v>
      </c>
      <c r="C21" s="4">
        <f t="shared" ref="C21:C23" si="0">RADIANS(B21)</f>
        <v>1.5707963267948966</v>
      </c>
    </row>
    <row r="22" spans="1:13" x14ac:dyDescent="0.25">
      <c r="A22" t="s">
        <v>5</v>
      </c>
      <c r="B22" s="4">
        <f>B3+I4</f>
        <v>60</v>
      </c>
      <c r="C22" s="4">
        <f t="shared" si="0"/>
        <v>1.0471975511965976</v>
      </c>
    </row>
    <row r="23" spans="1:13" x14ac:dyDescent="0.25">
      <c r="A23" t="s">
        <v>6</v>
      </c>
      <c r="B23" s="4">
        <v>180</v>
      </c>
      <c r="C23" s="4">
        <f t="shared" si="0"/>
        <v>3.1415926535897931</v>
      </c>
    </row>
    <row r="25" spans="1:13" x14ac:dyDescent="0.25">
      <c r="A25" t="s">
        <v>24</v>
      </c>
    </row>
    <row r="26" spans="1:13" x14ac:dyDescent="0.25">
      <c r="A26" t="s">
        <v>4</v>
      </c>
      <c r="B26" s="4">
        <f>DEGREES(C26)</f>
        <v>16.586654089236401</v>
      </c>
      <c r="C26" s="4">
        <f>ASIN(SIN(C21)*COS(I2/B5)+COS(C21)*SIN(I2/B5)*COS(C23))</f>
        <v>0.28949172574655657</v>
      </c>
    </row>
    <row r="27" spans="1:13" x14ac:dyDescent="0.25">
      <c r="A27" t="s">
        <v>5</v>
      </c>
      <c r="B27" s="4">
        <f>B22</f>
        <v>60</v>
      </c>
      <c r="C27" s="4">
        <f>RADIANS(B27)</f>
        <v>1.0471975511965976</v>
      </c>
    </row>
    <row r="28" spans="1:13" x14ac:dyDescent="0.25">
      <c r="A28" t="s">
        <v>6</v>
      </c>
      <c r="B28" s="4">
        <f>DEGREES(C28)</f>
        <v>180</v>
      </c>
      <c r="C28" s="4">
        <f>MOD(ATAN2(COS(C26)*SIN(C21)-SIN(C26)*COS(C21)*COS(C22-C27), SIN(C22-C27)*COS(C21))+3*PI(),2*PI())</f>
        <v>3.1415926535897931</v>
      </c>
    </row>
    <row r="30" spans="1:13" x14ac:dyDescent="0.25">
      <c r="A30" t="s">
        <v>26</v>
      </c>
    </row>
    <row r="31" spans="1:13" x14ac:dyDescent="0.25">
      <c r="A31" t="s">
        <v>4</v>
      </c>
      <c r="B31" s="4">
        <f>DEGREES(C31)</f>
        <v>23.260594626578541</v>
      </c>
      <c r="C31" s="4">
        <f>ASIN(SIN(C21)*COS(I3/B5)+COS(C21)*SIN(I3/B5)*COS(C23))</f>
        <v>0.40597396220549647</v>
      </c>
    </row>
    <row r="32" spans="1:13" x14ac:dyDescent="0.25">
      <c r="A32" s="2" t="s">
        <v>27</v>
      </c>
      <c r="B32" s="4">
        <f>DEGREES(C32)</f>
        <v>61.506755315799118</v>
      </c>
      <c r="C32" s="4">
        <f>ACOS((COS(B17/B5)-SIN(C26)*SIN(C31))/(COS(C26)*COS(C31)))</f>
        <v>1.0734953924792192</v>
      </c>
    </row>
    <row r="33" spans="1:27" x14ac:dyDescent="0.25">
      <c r="A33" s="2" t="s">
        <v>5</v>
      </c>
      <c r="B33" s="4">
        <f>MOD(B27-B32,360)</f>
        <v>358.49324468420087</v>
      </c>
      <c r="C33" s="4">
        <f>RADIANS(B33)</f>
        <v>6.2568874658969644</v>
      </c>
      <c r="E33" s="7" t="s">
        <v>28</v>
      </c>
      <c r="F33" s="7"/>
      <c r="G33" s="7"/>
      <c r="H33" s="7"/>
      <c r="I33" s="7"/>
      <c r="J33" s="7"/>
      <c r="K33" s="7"/>
      <c r="L33" s="7"/>
      <c r="M33" s="7"/>
      <c r="N33" s="7"/>
    </row>
    <row r="35" spans="1:27" x14ac:dyDescent="0.25">
      <c r="A35" t="s">
        <v>25</v>
      </c>
    </row>
    <row r="36" spans="1:27" x14ac:dyDescent="0.25">
      <c r="A36" t="s">
        <v>6</v>
      </c>
      <c r="B36" s="4">
        <f>DEGREES(C36)</f>
        <v>287.42146090687623</v>
      </c>
      <c r="C36" s="4">
        <f>MOD(ATAN2(COS(C26)*SIN(C31)-SIN(C26)*COS(C31)*COS(MOD(C33-C27+2*PI(),2*PI())),SIN(MOD(C33-C27+2*PI(),2*PI()))*COS(C31)), 2*PI())</f>
        <v>5.0164508337171574</v>
      </c>
    </row>
    <row r="38" spans="1:27" x14ac:dyDescent="0.25">
      <c r="A38" t="s">
        <v>29</v>
      </c>
      <c r="B38" s="4">
        <f>360-B36</f>
        <v>72.578539093123766</v>
      </c>
    </row>
    <row r="39" spans="1:27" x14ac:dyDescent="0.25">
      <c r="A39" t="s">
        <v>30</v>
      </c>
      <c r="B39" s="4">
        <f>DEGREES(C39)</f>
        <v>108.45631793815097</v>
      </c>
      <c r="C39" s="4">
        <f>ACOS(TAN(F3/B5)/TAN(B17/B5))</f>
        <v>1.8929198426105223</v>
      </c>
    </row>
    <row r="40" spans="1:27" x14ac:dyDescent="0.25">
      <c r="A40" t="s">
        <v>31</v>
      </c>
      <c r="B40" s="4">
        <f>180-B38-B39</f>
        <v>-1.0348570312747398</v>
      </c>
    </row>
    <row r="42" spans="1:27" x14ac:dyDescent="0.25">
      <c r="A42" t="s">
        <v>38</v>
      </c>
      <c r="B42" s="4">
        <f>DEGREES(C42)</f>
        <v>60.295445114172757</v>
      </c>
      <c r="C42" s="4">
        <f>C27+ATAN(-SIN(C26)*TAN(C28+RADIANS(F11)))</f>
        <v>1.0523540411978429</v>
      </c>
      <c r="AA42" s="3"/>
    </row>
    <row r="43" spans="1:27" x14ac:dyDescent="0.25">
      <c r="A43" s="2" t="s">
        <v>27</v>
      </c>
      <c r="B43" s="4">
        <f>B27-B42</f>
        <v>-0.29544511417275743</v>
      </c>
    </row>
  </sheetData>
  <sheetProtection algorithmName="SHA-512" hashValue="iadx/5o7eQxoxULlaifRoSwK9g+2nGvkoxCBHL8U00nskGWPoxSf5bEIugWZDsf+XctX5+zGZ6kWY44sYdviPg==" saltValue="KQGJwAU0qCJWEQXYc84BOw==" spinCount="100000" sheet="1" objects="1" scenarios="1" selectLockedCell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 Shop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Koch</dc:creator>
  <cp:lastModifiedBy>Aaron Koch</cp:lastModifiedBy>
  <dcterms:created xsi:type="dcterms:W3CDTF">2022-10-19T18:52:26Z</dcterms:created>
  <dcterms:modified xsi:type="dcterms:W3CDTF">2023-04-13T13:23:29Z</dcterms:modified>
</cp:coreProperties>
</file>